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93" sheetId="1" r:id="rId1"/>
    <sheet name="94" sheetId="2" r:id="rId2"/>
    <sheet name="95." sheetId="3" r:id="rId3"/>
  </sheets>
  <definedNames/>
  <calcPr fullCalcOnLoad="1"/>
</workbook>
</file>

<file path=xl/sharedStrings.xml><?xml version="1.0" encoding="utf-8"?>
<sst xmlns="http://schemas.openxmlformats.org/spreadsheetml/2006/main" count="136" uniqueCount="102">
  <si>
    <t>Đơn vị tính: triệu đồng</t>
  </si>
  <si>
    <t>STT</t>
  </si>
  <si>
    <t>LOẠI THUẾ</t>
  </si>
  <si>
    <t>SO SÁNH (%)</t>
  </si>
  <si>
    <t>TH/DT</t>
  </si>
  <si>
    <t xml:space="preserve">CÙNG 
KỲ </t>
  </si>
  <si>
    <t>2</t>
  </si>
  <si>
    <t>3</t>
  </si>
  <si>
    <t>4</t>
  </si>
  <si>
    <t>5</t>
  </si>
  <si>
    <t>6</t>
  </si>
  <si>
    <t>TỔNG THU NSNN TRÊN ĐỊA BÀN</t>
  </si>
  <si>
    <t>I</t>
  </si>
  <si>
    <t>Thuế CTN, NQD</t>
  </si>
  <si>
    <t>Thuế GTGT</t>
  </si>
  <si>
    <t>Thuế TNDN</t>
  </si>
  <si>
    <t>Thuế TTĐB</t>
  </si>
  <si>
    <t>Thuế tài nguyên</t>
  </si>
  <si>
    <t>Phạt chậm nộp</t>
  </si>
  <si>
    <t>Lệ phí trước bạ</t>
  </si>
  <si>
    <t>Thuế sử dụng đất phi nông nghiệp</t>
  </si>
  <si>
    <t>Phí và lệ phí</t>
  </si>
  <si>
    <t>Tiền cho thuê mặt đất, mặt nước</t>
  </si>
  <si>
    <t>Thuế thu nhập cá nhân</t>
  </si>
  <si>
    <t>Thu tiền cấp quyền sử dụng đất</t>
  </si>
  <si>
    <t>Thu khác ngân sách</t>
  </si>
  <si>
    <t>Thu phạt ATGT</t>
  </si>
  <si>
    <t>A</t>
  </si>
  <si>
    <t>II</t>
  </si>
  <si>
    <t>B</t>
  </si>
  <si>
    <t>Chi thường xuyên</t>
  </si>
  <si>
    <t>Dự phòng ngân sách</t>
  </si>
  <si>
    <t>C</t>
  </si>
  <si>
    <t>Biểu số 94/CK-NSNN</t>
  </si>
  <si>
    <t>UBND HUYỆN DƯƠNG MINH CHÂU</t>
  </si>
  <si>
    <t>THU NGÂN SÁCH HUYỆN ĐƯỢC HƯỞNG THEO PHÂN CẤP</t>
  </si>
  <si>
    <t>Thu viện trợ</t>
  </si>
  <si>
    <t>Biểu số 95/CK-NSNN</t>
  </si>
  <si>
    <t>CHI CÂN ĐỐI NGÂN SÁCH HUYỆN</t>
  </si>
  <si>
    <t>Chi đầu tư cho các dự án</t>
  </si>
  <si>
    <t>Chi đầu tư phát triển khác</t>
  </si>
  <si>
    <t>Trong đó:</t>
  </si>
  <si>
    <t>Chi giáo dục - đào tạo và dạy nghề</t>
  </si>
  <si>
    <t>Thu nội địa</t>
  </si>
  <si>
    <t>Đơn vị: Triệu đồng</t>
  </si>
  <si>
    <t>Nội dung</t>
  </si>
  <si>
    <t>Dự toán năm</t>
  </si>
  <si>
    <t>Cùng kỳ năm trước</t>
  </si>
  <si>
    <t>3=2/1</t>
  </si>
  <si>
    <t>TỔNG CHI NGÂN SÁCH HUYỆN</t>
  </si>
  <si>
    <t>Chi đầu tư phát triển</t>
  </si>
  <si>
    <t>Chi khoa học và công nghệ</t>
  </si>
  <si>
    <t>Chi y tế, dân số và gia đình</t>
  </si>
  <si>
    <t>Chi văn hóa thông tin</t>
  </si>
  <si>
    <t>Chi phát thanh, truyền hình</t>
  </si>
  <si>
    <t>Chi thể dục thể thao</t>
  </si>
  <si>
    <t>Chi bảo vệ môi trường</t>
  </si>
  <si>
    <t>Chi hoạt động kinh tế</t>
  </si>
  <si>
    <t>Chi hoạt động của cơ quan quản lý hành chính, đảng, đoàn thể</t>
  </si>
  <si>
    <t>Chi bảo đảm xã hội</t>
  </si>
  <si>
    <t>III</t>
  </si>
  <si>
    <t>CHI TỪ NGUỒN BỔ SUNG CÓ MỤC TIÊU TỪ NGÂN SÁCH CẤP TRÊN</t>
  </si>
  <si>
    <t>Chương trình mục tiêu quốc gia</t>
  </si>
  <si>
    <t>Cho các chương trình dự án quan trọng vốn đầu tư</t>
  </si>
  <si>
    <t>Cho các nhiệm vụ, chính sách kinh phí thường xuyên</t>
  </si>
  <si>
    <t>Biểu số 93/CK-NSNN</t>
  </si>
  <si>
    <t>TỔNG NGUỒN THU NSNN TRÊN ĐỊA BÀN</t>
  </si>
  <si>
    <t>THU CÂN ĐỐI NSNN</t>
  </si>
  <si>
    <t>Thu điều tiết</t>
  </si>
  <si>
    <t>Thu trợ cấp</t>
  </si>
  <si>
    <t>Bổ sung cân đối</t>
  </si>
  <si>
    <t>Bổ sung có mục tiêu</t>
  </si>
  <si>
    <t>Thu từ NS cấp dưới nộp lên</t>
  </si>
  <si>
    <t>Thu chuyển nguồn CCTL</t>
  </si>
  <si>
    <t>Thu chuyển nguồn từ năm trước chuyển sang</t>
  </si>
  <si>
    <t>Tổng chi cân đối ngân sách huyện</t>
  </si>
  <si>
    <t xml:space="preserve">Chi đầu tư phát triển </t>
  </si>
  <si>
    <t>Chi từ nguồn bổ sung có mục tiêu từ NS cấp tỉnh</t>
  </si>
  <si>
    <t xml:space="preserve">Chi tạm ứng </t>
  </si>
  <si>
    <t>Chi bổ sung ngân sách cấp dưới</t>
  </si>
  <si>
    <t>Thu khác NS huyện</t>
  </si>
  <si>
    <t>Thu khác ngân sách xã</t>
  </si>
  <si>
    <t>Thu từ quỹ đất công ích, hoa lợi công sản khác</t>
  </si>
  <si>
    <t xml:space="preserve">Chi tạm ứng ngân sách </t>
  </si>
  <si>
    <t xml:space="preserve">IV </t>
  </si>
  <si>
    <t>V</t>
  </si>
  <si>
    <t>Thu phạt VPHC LV Thuế, PNC</t>
  </si>
  <si>
    <t>DỰ TOÁN 2023</t>
  </si>
  <si>
    <t>CÙNG KỲ
NĂM 2022</t>
  </si>
  <si>
    <t xml:space="preserve">So sánh thực hiện với (%)
</t>
  </si>
  <si>
    <t>So sánh thực hiện với (%)</t>
  </si>
  <si>
    <t>CÂN ĐỐI NGÂN SÁCH HUYỆN 9 THÁNG NĂM 2023</t>
  </si>
  <si>
    <t>(Kèm theo Báo cáo số        /BC-UBND ngày       /10/2023 của UBND huyện)</t>
  </si>
  <si>
    <t>Thực hiện 9 tháng</t>
  </si>
  <si>
    <t xml:space="preserve">Thu kết dư ngân sách </t>
  </si>
  <si>
    <t>Chi nộp trả ngân sách cấp trên</t>
  </si>
  <si>
    <t>THỰC HIỆN 9 THÁNG</t>
  </si>
  <si>
    <t xml:space="preserve"> THỰC HIỆN THU NGÂN SÁCH NHÀ NƯỚC 9 THÁNG NĂM 2023</t>
  </si>
  <si>
    <t>(Kèm theo Báo cáo số      /BC-UBND ngày       /10/2023 của UBND huyện)</t>
  </si>
  <si>
    <t>Thực hiện  9 tháng</t>
  </si>
  <si>
    <t xml:space="preserve"> THỰC HIỆN CHI NGÂN SÁCH HUYỆN 9 THÁNG NĂM 2023</t>
  </si>
  <si>
    <t>VI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</si>
</sst>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* #,##0.0_);_(* \(#,##0.0\);_(* &quot;-&quot;??_);_(@_)"/>
    <numFmt numFmtId="177" formatCode="_(* #,##0_);_(* \(#,##0\);_(* &quot;-&quot;??_);_(@_)"/>
    <numFmt numFmtId="178" formatCode="_(* #,##0.0000_);_(* \(#,##0.0000\);_(* &quot;-&quot;??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00"/>
  </numFmts>
  <fonts count="58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</font>
    <font>
      <b/>
      <sz val="13"/>
      <name val="Times New Roman"/>
      <family val="1"/>
    </font>
    <font>
      <sz val="13"/>
      <name val=".VnArial Narrow"/>
      <family val="2"/>
    </font>
    <font>
      <b/>
      <u val="single"/>
      <sz val="12"/>
      <name val="Times New Roman"/>
      <family val="1"/>
    </font>
    <font>
      <b/>
      <sz val="12"/>
      <name val="Times New Roman h"/>
      <family val="0"/>
    </font>
    <font>
      <b/>
      <sz val="11"/>
      <name val="Times New Romanh"/>
      <family val="0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176" fontId="2" fillId="0" borderId="10" xfId="42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6" fillId="33" borderId="0" xfId="0" applyFont="1" applyFill="1" applyBorder="1" applyAlignment="1">
      <alignment vertical="center"/>
    </xf>
    <xf numFmtId="0" fontId="2" fillId="0" borderId="0" xfId="0" applyFont="1" applyFill="1" applyAlignment="1">
      <alignment horizontal="right"/>
    </xf>
    <xf numFmtId="0" fontId="2" fillId="0" borderId="12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177" fontId="2" fillId="0" borderId="10" xfId="42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centerContinuous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171" fontId="2" fillId="0" borderId="10" xfId="42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171" fontId="2" fillId="0" borderId="14" xfId="42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171" fontId="2" fillId="0" borderId="11" xfId="42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/>
    </xf>
    <xf numFmtId="171" fontId="4" fillId="0" borderId="11" xfId="42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1" fontId="14" fillId="0" borderId="11" xfId="42" applyFont="1" applyFill="1" applyBorder="1" applyAlignment="1">
      <alignment horizontal="right"/>
    </xf>
    <xf numFmtId="177" fontId="4" fillId="0" borderId="11" xfId="42" applyNumberFormat="1" applyFont="1" applyFill="1" applyBorder="1" applyAlignment="1">
      <alignment/>
    </xf>
    <xf numFmtId="0" fontId="4" fillId="0" borderId="11" xfId="0" applyFont="1" applyFill="1" applyBorder="1" applyAlignment="1">
      <alignment vertical="center" wrapText="1"/>
    </xf>
    <xf numFmtId="177" fontId="4" fillId="0" borderId="11" xfId="42" applyNumberFormat="1" applyFont="1" applyFill="1" applyBorder="1" applyAlignment="1">
      <alignment horizontal="center" vertical="center"/>
    </xf>
    <xf numFmtId="171" fontId="4" fillId="0" borderId="11" xfId="42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3" fontId="14" fillId="0" borderId="11" xfId="0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3" fontId="14" fillId="0" borderId="15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Continuous"/>
    </xf>
    <xf numFmtId="0" fontId="8" fillId="0" borderId="0" xfId="0" applyNumberFormat="1" applyFont="1" applyFill="1" applyAlignment="1">
      <alignment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/>
    </xf>
    <xf numFmtId="0" fontId="16" fillId="0" borderId="16" xfId="0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171" fontId="2" fillId="0" borderId="16" xfId="42" applyFont="1" applyFill="1" applyBorder="1" applyAlignment="1">
      <alignment/>
    </xf>
    <xf numFmtId="0" fontId="16" fillId="0" borderId="11" xfId="0" applyFont="1" applyFill="1" applyBorder="1" applyAlignment="1">
      <alignment/>
    </xf>
    <xf numFmtId="171" fontId="4" fillId="0" borderId="11" xfId="42" applyFont="1" applyFill="1" applyBorder="1" applyAlignment="1">
      <alignment/>
    </xf>
    <xf numFmtId="171" fontId="2" fillId="0" borderId="11" xfId="42" applyFont="1" applyFill="1" applyBorder="1" applyAlignment="1">
      <alignment/>
    </xf>
    <xf numFmtId="0" fontId="10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171" fontId="2" fillId="0" borderId="19" xfId="42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0" fontId="3" fillId="0" borderId="11" xfId="0" applyFont="1" applyBorder="1" applyAlignment="1">
      <alignment vertical="center"/>
    </xf>
    <xf numFmtId="0" fontId="2" fillId="0" borderId="15" xfId="0" applyFont="1" applyFill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177" fontId="12" fillId="0" borderId="10" xfId="42" applyNumberFormat="1" applyFont="1" applyBorder="1" applyAlignment="1">
      <alignment horizontal="center" vertical="center" wrapText="1"/>
    </xf>
    <xf numFmtId="177" fontId="12" fillId="0" borderId="16" xfId="42" applyNumberFormat="1" applyFont="1" applyBorder="1" applyAlignment="1">
      <alignment vertical="center"/>
    </xf>
    <xf numFmtId="177" fontId="7" fillId="0" borderId="11" xfId="42" applyNumberFormat="1" applyFont="1" applyBorder="1" applyAlignment="1">
      <alignment vertical="center"/>
    </xf>
    <xf numFmtId="177" fontId="7" fillId="33" borderId="11" xfId="42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77" fontId="3" fillId="0" borderId="11" xfId="42" applyNumberFormat="1" applyFont="1" applyBorder="1" applyAlignment="1">
      <alignment vertical="center"/>
    </xf>
    <xf numFmtId="177" fontId="7" fillId="33" borderId="15" xfId="42" applyNumberFormat="1" applyFont="1" applyFill="1" applyBorder="1" applyAlignment="1">
      <alignment vertical="center"/>
    </xf>
    <xf numFmtId="177" fontId="3" fillId="0" borderId="0" xfId="42" applyNumberFormat="1" applyFont="1" applyAlignment="1">
      <alignment vertical="center"/>
    </xf>
    <xf numFmtId="177" fontId="3" fillId="33" borderId="0" xfId="42" applyNumberFormat="1" applyFont="1" applyFill="1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177" fontId="12" fillId="0" borderId="0" xfId="42" applyNumberFormat="1" applyFont="1" applyAlignment="1">
      <alignment horizontal="center" vertical="center"/>
    </xf>
    <xf numFmtId="0" fontId="6" fillId="33" borderId="2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77" fontId="4" fillId="0" borderId="10" xfId="42" applyNumberFormat="1" applyFont="1" applyBorder="1" applyAlignment="1" quotePrefix="1">
      <alignment horizontal="center" vertical="center"/>
    </xf>
    <xf numFmtId="177" fontId="4" fillId="33" borderId="10" xfId="42" applyNumberFormat="1" applyFont="1" applyFill="1" applyBorder="1" applyAlignment="1" quotePrefix="1">
      <alignment horizontal="center" vertical="center" wrapText="1"/>
    </xf>
    <xf numFmtId="0" fontId="3" fillId="0" borderId="0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171" fontId="12" fillId="0" borderId="10" xfId="42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177" fontId="17" fillId="0" borderId="0" xfId="0" applyNumberFormat="1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171" fontId="7" fillId="0" borderId="11" xfId="42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178" fontId="3" fillId="0" borderId="0" xfId="0" applyNumberFormat="1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177" fontId="7" fillId="0" borderId="21" xfId="42" applyNumberFormat="1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177" fontId="7" fillId="0" borderId="22" xfId="42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77" fontId="3" fillId="0" borderId="11" xfId="42" applyNumberFormat="1" applyFont="1" applyBorder="1" applyAlignment="1">
      <alignment vertical="center"/>
    </xf>
    <xf numFmtId="177" fontId="7" fillId="0" borderId="15" xfId="42" applyNumberFormat="1" applyFont="1" applyBorder="1" applyAlignment="1">
      <alignment vertical="center"/>
    </xf>
    <xf numFmtId="171" fontId="7" fillId="0" borderId="15" xfId="42" applyFont="1" applyBorder="1" applyAlignment="1">
      <alignment vertical="center"/>
    </xf>
    <xf numFmtId="177" fontId="12" fillId="33" borderId="0" xfId="42" applyNumberFormat="1" applyFont="1" applyFill="1" applyAlignment="1">
      <alignment vertical="center"/>
    </xf>
    <xf numFmtId="171" fontId="12" fillId="0" borderId="0" xfId="42" applyFont="1" applyAlignment="1">
      <alignment horizontal="center" vertical="center"/>
    </xf>
    <xf numFmtId="171" fontId="3" fillId="0" borderId="0" xfId="42" applyFont="1" applyAlignment="1">
      <alignment vertical="center"/>
    </xf>
    <xf numFmtId="0" fontId="17" fillId="0" borderId="17" xfId="0" applyFont="1" applyBorder="1" applyAlignment="1">
      <alignment horizontal="center" vertical="center"/>
    </xf>
    <xf numFmtId="177" fontId="2" fillId="0" borderId="11" xfId="42" applyNumberFormat="1" applyFont="1" applyFill="1" applyBorder="1" applyAlignment="1">
      <alignment/>
    </xf>
    <xf numFmtId="3" fontId="18" fillId="0" borderId="11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77" fontId="2" fillId="0" borderId="14" xfId="42" applyNumberFormat="1" applyFont="1" applyFill="1" applyBorder="1" applyAlignment="1">
      <alignment horizontal="right"/>
    </xf>
    <xf numFmtId="171" fontId="4" fillId="0" borderId="14" xfId="42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177" fontId="2" fillId="33" borderId="10" xfId="42" applyNumberFormat="1" applyFont="1" applyFill="1" applyBorder="1" applyAlignment="1">
      <alignment vertical="center"/>
    </xf>
    <xf numFmtId="171" fontId="2" fillId="0" borderId="10" xfId="42" applyFont="1" applyBorder="1" applyAlignment="1">
      <alignment vertical="center"/>
    </xf>
    <xf numFmtId="3" fontId="4" fillId="0" borderId="11" xfId="0" applyNumberFormat="1" applyFont="1" applyBorder="1" applyAlignment="1">
      <alignment/>
    </xf>
    <xf numFmtId="171" fontId="12" fillId="0" borderId="14" xfId="42" applyFont="1" applyBorder="1" applyAlignment="1">
      <alignment vertical="center"/>
    </xf>
    <xf numFmtId="183" fontId="12" fillId="0" borderId="10" xfId="42" applyNumberFormat="1" applyFont="1" applyBorder="1" applyAlignment="1">
      <alignment vertical="center"/>
    </xf>
    <xf numFmtId="183" fontId="12" fillId="0" borderId="14" xfId="42" applyNumberFormat="1" applyFont="1" applyBorder="1" applyAlignment="1">
      <alignment vertical="center"/>
    </xf>
    <xf numFmtId="183" fontId="7" fillId="0" borderId="11" xfId="42" applyNumberFormat="1" applyFont="1" applyBorder="1" applyAlignment="1">
      <alignment vertical="center"/>
    </xf>
    <xf numFmtId="183" fontId="7" fillId="0" borderId="19" xfId="42" applyNumberFormat="1" applyFont="1" applyBorder="1" applyAlignment="1">
      <alignment vertical="center"/>
    </xf>
    <xf numFmtId="0" fontId="2" fillId="0" borderId="23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4" fontId="2" fillId="0" borderId="11" xfId="42" applyNumberFormat="1" applyFont="1" applyFill="1" applyBorder="1" applyAlignment="1">
      <alignment/>
    </xf>
    <xf numFmtId="4" fontId="4" fillId="0" borderId="11" xfId="42" applyNumberFormat="1" applyFont="1" applyFill="1" applyBorder="1" applyAlignment="1">
      <alignment/>
    </xf>
    <xf numFmtId="4" fontId="4" fillId="0" borderId="15" xfId="42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177" fontId="4" fillId="0" borderId="0" xfId="42" applyNumberFormat="1" applyFont="1" applyFill="1" applyAlignment="1">
      <alignment/>
    </xf>
    <xf numFmtId="177" fontId="57" fillId="0" borderId="11" xfId="42" applyNumberFormat="1" applyFont="1" applyFill="1" applyBorder="1" applyAlignment="1">
      <alignment/>
    </xf>
    <xf numFmtId="177" fontId="4" fillId="0" borderId="0" xfId="42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77" fontId="2" fillId="0" borderId="10" xfId="42" applyNumberFormat="1" applyFont="1" applyFill="1" applyBorder="1" applyAlignment="1">
      <alignment/>
    </xf>
    <xf numFmtId="177" fontId="8" fillId="0" borderId="11" xfId="42" applyNumberFormat="1" applyFont="1" applyFill="1" applyBorder="1" applyAlignment="1">
      <alignment/>
    </xf>
    <xf numFmtId="0" fontId="12" fillId="0" borderId="24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1" fillId="0" borderId="20" xfId="0" applyNumberFormat="1" applyFont="1" applyFill="1" applyBorder="1" applyAlignment="1">
      <alignment horizontal="center" vertical="center"/>
    </xf>
    <xf numFmtId="171" fontId="2" fillId="0" borderId="10" xfId="42" applyFont="1" applyBorder="1" applyAlignment="1">
      <alignment horizontal="center" vertical="center" wrapText="1"/>
    </xf>
    <xf numFmtId="171" fontId="2" fillId="33" borderId="10" xfId="42" applyFont="1" applyFill="1" applyBorder="1" applyAlignment="1">
      <alignment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7" fontId="2" fillId="0" borderId="24" xfId="42" applyNumberFormat="1" applyFont="1" applyBorder="1" applyAlignment="1">
      <alignment horizontal="center" vertical="center" wrapText="1"/>
    </xf>
    <xf numFmtId="177" fontId="2" fillId="0" borderId="25" xfId="42" applyNumberFormat="1" applyFont="1" applyBorder="1" applyAlignment="1">
      <alignment horizontal="center" vertical="center" wrapText="1"/>
    </xf>
    <xf numFmtId="177" fontId="2" fillId="33" borderId="10" xfId="42" applyNumberFormat="1" applyFont="1" applyFill="1" applyBorder="1" applyAlignment="1">
      <alignment horizontal="center" vertical="center" wrapText="1"/>
    </xf>
    <xf numFmtId="177" fontId="2" fillId="33" borderId="24" xfId="42" applyNumberFormat="1" applyFont="1" applyFill="1" applyBorder="1" applyAlignment="1">
      <alignment horizontal="center" vertical="center" wrapText="1"/>
    </xf>
    <xf numFmtId="177" fontId="2" fillId="33" borderId="25" xfId="42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13" fillId="0" borderId="17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9">
      <selection activeCell="D28" sqref="D28"/>
    </sheetView>
  </sheetViews>
  <sheetFormatPr defaultColWidth="10.00390625" defaultRowHeight="12.75"/>
  <cols>
    <col min="1" max="1" width="5.7109375" style="21" customWidth="1"/>
    <col min="2" max="2" width="47.00390625" style="21" customWidth="1"/>
    <col min="3" max="3" width="10.57421875" style="21" customWidth="1"/>
    <col min="4" max="4" width="19.140625" style="21" customWidth="1"/>
    <col min="5" max="5" width="11.421875" style="21" customWidth="1"/>
    <col min="6" max="6" width="10.28125" style="21" customWidth="1"/>
    <col min="7" max="7" width="11.140625" style="21" hidden="1" customWidth="1"/>
    <col min="8" max="11" width="10.00390625" style="21" customWidth="1"/>
    <col min="12" max="12" width="11.57421875" style="21" bestFit="1" customWidth="1"/>
    <col min="13" max="14" width="10.00390625" style="21" customWidth="1"/>
    <col min="15" max="15" width="11.57421875" style="21" bestFit="1" customWidth="1"/>
    <col min="16" max="16384" width="10.00390625" style="21" customWidth="1"/>
  </cols>
  <sheetData>
    <row r="1" spans="1:6" ht="18.75" customHeight="1">
      <c r="A1" s="155" t="s">
        <v>34</v>
      </c>
      <c r="B1" s="155"/>
      <c r="C1" s="51"/>
      <c r="D1" s="156" t="s">
        <v>65</v>
      </c>
      <c r="E1" s="155"/>
      <c r="F1" s="155"/>
    </row>
    <row r="2" spans="1:6" ht="18.75" customHeight="1">
      <c r="A2" s="155"/>
      <c r="B2" s="155"/>
      <c r="C2" s="51"/>
      <c r="D2" s="51"/>
      <c r="E2" s="51"/>
      <c r="F2" s="51"/>
    </row>
    <row r="3" spans="1:6" ht="21" customHeight="1">
      <c r="A3" s="157" t="s">
        <v>91</v>
      </c>
      <c r="B3" s="157"/>
      <c r="C3" s="157"/>
      <c r="D3" s="157"/>
      <c r="E3" s="157"/>
      <c r="F3" s="157"/>
    </row>
    <row r="4" spans="1:11" ht="18" customHeight="1">
      <c r="A4" s="158" t="s">
        <v>92</v>
      </c>
      <c r="B4" s="158"/>
      <c r="C4" s="158"/>
      <c r="D4" s="158"/>
      <c r="E4" s="158"/>
      <c r="F4" s="158"/>
      <c r="G4" s="52"/>
      <c r="H4" s="52"/>
      <c r="I4" s="52"/>
      <c r="J4" s="52"/>
      <c r="K4" s="52"/>
    </row>
    <row r="5" spans="1:11" ht="19.5" customHeight="1">
      <c r="A5" s="53"/>
      <c r="B5" s="53"/>
      <c r="C5" s="53"/>
      <c r="D5" s="53"/>
      <c r="E5" s="159" t="s">
        <v>44</v>
      </c>
      <c r="F5" s="159"/>
      <c r="G5" s="52"/>
      <c r="H5" s="52"/>
      <c r="I5" s="52"/>
      <c r="J5" s="52"/>
      <c r="K5" s="52"/>
    </row>
    <row r="6" spans="1:6" s="24" customFormat="1" ht="48.75" customHeight="1">
      <c r="A6" s="147" t="s">
        <v>1</v>
      </c>
      <c r="B6" s="147" t="s">
        <v>45</v>
      </c>
      <c r="C6" s="150" t="s">
        <v>46</v>
      </c>
      <c r="D6" s="150" t="s">
        <v>93</v>
      </c>
      <c r="E6" s="153" t="s">
        <v>89</v>
      </c>
      <c r="F6" s="154"/>
    </row>
    <row r="7" spans="1:6" s="24" customFormat="1" ht="17.25" customHeight="1">
      <c r="A7" s="148"/>
      <c r="B7" s="148"/>
      <c r="C7" s="151"/>
      <c r="D7" s="151"/>
      <c r="E7" s="150" t="s">
        <v>46</v>
      </c>
      <c r="F7" s="150" t="s">
        <v>47</v>
      </c>
    </row>
    <row r="8" spans="1:6" s="24" customFormat="1" ht="50.25" customHeight="1">
      <c r="A8" s="149"/>
      <c r="B8" s="149"/>
      <c r="C8" s="152"/>
      <c r="D8" s="152"/>
      <c r="E8" s="152"/>
      <c r="F8" s="152"/>
    </row>
    <row r="9" spans="1:6" s="28" customFormat="1" ht="17.25" customHeight="1">
      <c r="A9" s="25" t="s">
        <v>27</v>
      </c>
      <c r="B9" s="26" t="s">
        <v>29</v>
      </c>
      <c r="C9" s="25">
        <v>1</v>
      </c>
      <c r="D9" s="25">
        <f>C9+1</f>
        <v>2</v>
      </c>
      <c r="E9" s="27" t="s">
        <v>48</v>
      </c>
      <c r="F9" s="25">
        <v>4</v>
      </c>
    </row>
    <row r="10" spans="1:15" s="23" customFormat="1" ht="24" customHeight="1">
      <c r="A10" s="54" t="s">
        <v>27</v>
      </c>
      <c r="B10" s="55" t="s">
        <v>66</v>
      </c>
      <c r="C10" s="56">
        <f>C11</f>
        <v>212650</v>
      </c>
      <c r="D10" s="56">
        <f>D11</f>
        <v>207954.219981</v>
      </c>
      <c r="E10" s="57">
        <f>E11</f>
        <v>97.79177991112155</v>
      </c>
      <c r="F10" s="135">
        <f aca="true" t="shared" si="0" ref="F10:F23">IF(G10&gt;0,D10/G10-100%,"")</f>
        <v>-0.2684861265041746</v>
      </c>
      <c r="G10" s="56">
        <f>G11</f>
        <v>284279.256369</v>
      </c>
      <c r="O10" s="23">
        <v>-1</v>
      </c>
    </row>
    <row r="11" spans="1:15" s="23" customFormat="1" ht="24" customHeight="1">
      <c r="A11" s="9"/>
      <c r="B11" s="58" t="s">
        <v>43</v>
      </c>
      <c r="C11" s="35">
        <v>212650</v>
      </c>
      <c r="D11" s="35">
        <v>207954.219981</v>
      </c>
      <c r="E11" s="59">
        <f>(D11/C11)*100</f>
        <v>97.79177991112155</v>
      </c>
      <c r="F11" s="136">
        <f t="shared" si="0"/>
        <v>-0.2684861265041746</v>
      </c>
      <c r="G11" s="35">
        <v>284279.256369</v>
      </c>
      <c r="O11" s="23">
        <v>1E-06</v>
      </c>
    </row>
    <row r="12" spans="1:7" s="23" customFormat="1" ht="24" customHeight="1">
      <c r="A12" s="9" t="s">
        <v>29</v>
      </c>
      <c r="B12" s="10" t="s">
        <v>67</v>
      </c>
      <c r="C12" s="33">
        <f>C13+C14+C18+C19</f>
        <v>577903</v>
      </c>
      <c r="D12" s="33">
        <f>D13+D14+D18+D19+D20</f>
        <v>813401.802103</v>
      </c>
      <c r="E12" s="60">
        <f>D12/C12*100</f>
        <v>140.7505761525723</v>
      </c>
      <c r="F12" s="135">
        <f t="shared" si="0"/>
        <v>-0.22674639567901467</v>
      </c>
      <c r="G12" s="33">
        <f>G13+G14+G19+G21</f>
        <v>1051921.125951</v>
      </c>
    </row>
    <row r="13" spans="1:7" s="23" customFormat="1" ht="24" customHeight="1">
      <c r="A13" s="46">
        <v>1</v>
      </c>
      <c r="B13" s="18" t="s">
        <v>68</v>
      </c>
      <c r="C13" s="35">
        <v>231206</v>
      </c>
      <c r="D13" s="120">
        <f>213876.62393+0.3</f>
        <v>213876.92393</v>
      </c>
      <c r="E13" s="59">
        <f>D13/C13*100</f>
        <v>92.5049193922303</v>
      </c>
      <c r="F13" s="136">
        <f t="shared" si="0"/>
        <v>-0.1490173801895318</v>
      </c>
      <c r="G13" s="120">
        <v>251329.36789899998</v>
      </c>
    </row>
    <row r="14" spans="1:7" s="23" customFormat="1" ht="24" customHeight="1">
      <c r="A14" s="46">
        <v>2</v>
      </c>
      <c r="B14" s="18" t="s">
        <v>69</v>
      </c>
      <c r="C14" s="35">
        <f>+C15+C16+C17</f>
        <v>346697</v>
      </c>
      <c r="D14" s="35">
        <f>+D15+D16+D17</f>
        <v>345840.3</v>
      </c>
      <c r="E14" s="59">
        <f>D14/C14*100</f>
        <v>99.7528966215456</v>
      </c>
      <c r="F14" s="136">
        <f t="shared" si="0"/>
        <v>0.0683044033267457</v>
      </c>
      <c r="G14" s="35">
        <v>323728.23600000003</v>
      </c>
    </row>
    <row r="15" spans="1:7" s="23" customFormat="1" ht="24" customHeight="1">
      <c r="A15" s="46"/>
      <c r="B15" s="2" t="s">
        <v>70</v>
      </c>
      <c r="C15" s="35">
        <v>207744</v>
      </c>
      <c r="D15" s="120">
        <v>170624</v>
      </c>
      <c r="E15" s="59">
        <f>D15/C15*100</f>
        <v>82.13185459026494</v>
      </c>
      <c r="F15" s="136">
        <f t="shared" si="0"/>
        <v>-0.010594313747093409</v>
      </c>
      <c r="G15" s="127">
        <v>172451</v>
      </c>
    </row>
    <row r="16" spans="1:7" s="23" customFormat="1" ht="24" customHeight="1">
      <c r="A16" s="46"/>
      <c r="B16" s="2" t="s">
        <v>71</v>
      </c>
      <c r="C16" s="35">
        <v>138953</v>
      </c>
      <c r="D16" s="120">
        <f>175215.8+0.5</f>
        <v>175216.3</v>
      </c>
      <c r="E16" s="59">
        <f>D16/C16*100</f>
        <v>126.09752938043799</v>
      </c>
      <c r="F16" s="136">
        <f t="shared" si="0"/>
        <v>0.16170969087897924</v>
      </c>
      <c r="G16" s="127">
        <v>150826.236</v>
      </c>
    </row>
    <row r="17" spans="1:7" s="23" customFormat="1" ht="24" customHeight="1">
      <c r="A17" s="46"/>
      <c r="B17" s="2" t="s">
        <v>72</v>
      </c>
      <c r="C17" s="35"/>
      <c r="D17" s="35">
        <v>0</v>
      </c>
      <c r="E17" s="59"/>
      <c r="F17" s="136">
        <f t="shared" si="0"/>
        <v>-1</v>
      </c>
      <c r="G17" s="127">
        <v>451</v>
      </c>
    </row>
    <row r="18" spans="1:7" s="23" customFormat="1" ht="24" customHeight="1">
      <c r="A18" s="46">
        <v>3</v>
      </c>
      <c r="B18" s="18" t="s">
        <v>73</v>
      </c>
      <c r="C18" s="35"/>
      <c r="D18" s="35">
        <v>0</v>
      </c>
      <c r="E18" s="60"/>
      <c r="F18" s="136">
        <f t="shared" si="0"/>
      </c>
      <c r="G18" s="35"/>
    </row>
    <row r="19" spans="1:7" s="23" customFormat="1" ht="24" customHeight="1">
      <c r="A19" s="61">
        <v>4</v>
      </c>
      <c r="B19" s="18" t="s">
        <v>74</v>
      </c>
      <c r="C19" s="62"/>
      <c r="D19" s="121">
        <v>252179.590073</v>
      </c>
      <c r="E19" s="60"/>
      <c r="F19" s="136">
        <f t="shared" si="0"/>
        <v>2.730218436544131</v>
      </c>
      <c r="G19" s="121">
        <v>67604.510128</v>
      </c>
    </row>
    <row r="20" spans="1:7" s="23" customFormat="1" ht="24" customHeight="1">
      <c r="A20" s="61">
        <v>5</v>
      </c>
      <c r="B20" s="18" t="s">
        <v>94</v>
      </c>
      <c r="C20" s="62"/>
      <c r="D20" s="121">
        <f>1504.5881+0.4</f>
        <v>1504.9881</v>
      </c>
      <c r="E20" s="60"/>
      <c r="F20" s="136"/>
      <c r="G20" s="121"/>
    </row>
    <row r="21" spans="1:7" s="23" customFormat="1" ht="24" customHeight="1">
      <c r="A21" s="9" t="s">
        <v>32</v>
      </c>
      <c r="B21" s="10" t="s">
        <v>49</v>
      </c>
      <c r="C21" s="33">
        <f>C22+C28</f>
        <v>577903</v>
      </c>
      <c r="D21" s="33">
        <f>D22+D28+D27+D31</f>
        <v>430824.44816499995</v>
      </c>
      <c r="E21" s="60">
        <f>D21/C21*100</f>
        <v>74.54961267980957</v>
      </c>
      <c r="F21" s="136">
        <f t="shared" si="0"/>
        <v>0.05269385795468984</v>
      </c>
      <c r="G21" s="33">
        <f>G22+G30</f>
        <v>409259.011924</v>
      </c>
    </row>
    <row r="22" spans="1:7" s="23" customFormat="1" ht="24" customHeight="1">
      <c r="A22" s="9" t="s">
        <v>12</v>
      </c>
      <c r="B22" s="10" t="s">
        <v>75</v>
      </c>
      <c r="C22" s="33">
        <f>SUM(C23:C25)</f>
        <v>438950</v>
      </c>
      <c r="D22" s="33">
        <f>SUM(D23:D26)</f>
        <v>301617.947567</v>
      </c>
      <c r="E22" s="60">
        <f>D22/C22*100</f>
        <v>68.71350895705662</v>
      </c>
      <c r="F22" s="136">
        <f t="shared" si="0"/>
        <v>-0.26301452434965344</v>
      </c>
      <c r="G22" s="33">
        <f>SUM(G23:G29)</f>
        <v>409259.011924</v>
      </c>
    </row>
    <row r="23" spans="1:7" s="23" customFormat="1" ht="24" customHeight="1">
      <c r="A23" s="13">
        <v>1</v>
      </c>
      <c r="B23" s="14" t="s">
        <v>76</v>
      </c>
      <c r="C23" s="35">
        <v>62740</v>
      </c>
      <c r="D23" s="35">
        <f>51546.468817-0.4</f>
        <v>51546.068817</v>
      </c>
      <c r="E23" s="59">
        <f>D23/C23*100</f>
        <v>82.15822253267453</v>
      </c>
      <c r="F23" s="136">
        <f t="shared" si="0"/>
        <v>-0.6010453536319821</v>
      </c>
      <c r="G23" s="35">
        <v>129202.828658</v>
      </c>
    </row>
    <row r="24" spans="1:7" s="23" customFormat="1" ht="24" customHeight="1">
      <c r="A24" s="13">
        <f>A23+1</f>
        <v>2</v>
      </c>
      <c r="B24" s="14" t="s">
        <v>30</v>
      </c>
      <c r="C24" s="35">
        <v>367430</v>
      </c>
      <c r="D24" s="139">
        <f>249287.19105-0.1</f>
        <v>249287.09105</v>
      </c>
      <c r="E24" s="59">
        <f>D24/C24*100</f>
        <v>67.84614512968457</v>
      </c>
      <c r="F24" s="136">
        <f>IF(G24&gt;0,'95.'!I15/G24-100%,"")</f>
        <v>-1</v>
      </c>
      <c r="G24" s="35">
        <v>183196.674242</v>
      </c>
    </row>
    <row r="25" spans="1:7" s="23" customFormat="1" ht="24" customHeight="1">
      <c r="A25" s="13">
        <v>3</v>
      </c>
      <c r="B25" s="14" t="s">
        <v>31</v>
      </c>
      <c r="C25" s="35">
        <v>8780</v>
      </c>
      <c r="D25" s="35">
        <f>784.4877+0.3</f>
        <v>784.7877</v>
      </c>
      <c r="E25" s="60">
        <f>D25/C25*100</f>
        <v>8.938356492027335</v>
      </c>
      <c r="F25" s="136">
        <f aca="true" t="shared" si="1" ref="F25:F30">IF(G25&gt;0,D25/G25-100%,"")</f>
        <v>-0.36140907199029404</v>
      </c>
      <c r="G25" s="35">
        <v>1228.9365</v>
      </c>
    </row>
    <row r="26" spans="1:7" s="23" customFormat="1" ht="24" customHeight="1">
      <c r="A26" s="65">
        <v>4</v>
      </c>
      <c r="B26" s="66" t="s">
        <v>78</v>
      </c>
      <c r="C26" s="67"/>
      <c r="D26" s="67"/>
      <c r="E26" s="68"/>
      <c r="F26" s="136">
        <f t="shared" si="1"/>
        <v>-1</v>
      </c>
      <c r="G26" s="67">
        <v>67352.100075</v>
      </c>
    </row>
    <row r="27" spans="1:7" s="38" customFormat="1" ht="24" customHeight="1">
      <c r="A27" s="69" t="s">
        <v>28</v>
      </c>
      <c r="B27" s="70" t="s">
        <v>79</v>
      </c>
      <c r="C27" s="71"/>
      <c r="D27" s="71">
        <v>16679.489999999998</v>
      </c>
      <c r="E27" s="68"/>
      <c r="F27" s="136">
        <f t="shared" si="1"/>
        <v>-0.41017004967006876</v>
      </c>
      <c r="G27" s="67">
        <v>28278.472448999997</v>
      </c>
    </row>
    <row r="28" spans="1:7" s="38" customFormat="1" ht="24" customHeight="1">
      <c r="A28" s="29" t="s">
        <v>60</v>
      </c>
      <c r="B28" s="133" t="s">
        <v>77</v>
      </c>
      <c r="C28" s="33">
        <v>138953</v>
      </c>
      <c r="D28" s="33">
        <f>+D29+D30</f>
        <v>112507.160598</v>
      </c>
      <c r="E28" s="60"/>
      <c r="F28" s="136">
        <f t="shared" si="1"/>
      </c>
      <c r="G28" s="35"/>
    </row>
    <row r="29" spans="1:7" ht="23.25" customHeight="1">
      <c r="A29" s="13">
        <v>1</v>
      </c>
      <c r="B29" s="14" t="s">
        <v>76</v>
      </c>
      <c r="C29" s="62"/>
      <c r="D29" s="40">
        <f>105198.366903-0.3</f>
        <v>105198.066903</v>
      </c>
      <c r="E29" s="62"/>
      <c r="F29" s="136">
        <f t="shared" si="1"/>
      </c>
      <c r="G29" s="35"/>
    </row>
    <row r="30" spans="1:7" ht="23.25" customHeight="1">
      <c r="A30" s="48">
        <f>A29+1</f>
        <v>2</v>
      </c>
      <c r="B30" s="49" t="s">
        <v>30</v>
      </c>
      <c r="C30" s="134"/>
      <c r="D30" s="63">
        <f>7309.293695-0.2</f>
        <v>7309.0936950000005</v>
      </c>
      <c r="E30" s="134"/>
      <c r="F30" s="137">
        <f t="shared" si="1"/>
      </c>
      <c r="G30" s="64"/>
    </row>
    <row r="31" spans="1:6" s="142" customFormat="1" ht="15.75">
      <c r="A31" s="143" t="s">
        <v>84</v>
      </c>
      <c r="B31" s="144" t="s">
        <v>95</v>
      </c>
      <c r="C31" s="144"/>
      <c r="D31" s="145">
        <v>19.849999999999998</v>
      </c>
      <c r="E31" s="144"/>
      <c r="F31" s="144"/>
    </row>
  </sheetData>
  <sheetProtection/>
  <mergeCells count="13">
    <mergeCell ref="A1:B1"/>
    <mergeCell ref="D1:F1"/>
    <mergeCell ref="A2:B2"/>
    <mergeCell ref="A3:F3"/>
    <mergeCell ref="A4:F4"/>
    <mergeCell ref="E5:F5"/>
    <mergeCell ref="A6:A8"/>
    <mergeCell ref="B6:B8"/>
    <mergeCell ref="C6:C8"/>
    <mergeCell ref="D6:D8"/>
    <mergeCell ref="E6:F6"/>
    <mergeCell ref="E7:E8"/>
    <mergeCell ref="F7:F8"/>
  </mergeCells>
  <printOptions/>
  <pageMargins left="0.45" right="0.44" top="0.74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9">
      <selection activeCell="F12" sqref="F12"/>
    </sheetView>
  </sheetViews>
  <sheetFormatPr defaultColWidth="8.8515625" defaultRowHeight="12.75"/>
  <cols>
    <col min="1" max="1" width="5.28125" style="94" customWidth="1"/>
    <col min="2" max="2" width="40.140625" style="86" customWidth="1"/>
    <col min="3" max="3" width="12.8515625" style="83" customWidth="1"/>
    <col min="4" max="4" width="13.7109375" style="84" customWidth="1"/>
    <col min="5" max="5" width="12.57421875" style="84" hidden="1" customWidth="1"/>
    <col min="6" max="6" width="12.28125" style="116" customWidth="1"/>
    <col min="7" max="7" width="12.7109375" style="84" customWidth="1"/>
    <col min="8" max="8" width="9.140625" style="85" hidden="1" customWidth="1"/>
    <col min="9" max="9" width="9.140625" style="86" bestFit="1" customWidth="1"/>
    <col min="10" max="10" width="13.140625" style="86" customWidth="1"/>
    <col min="11" max="254" width="9.140625" style="86" bestFit="1" customWidth="1"/>
    <col min="255" max="16384" width="8.8515625" style="86" customWidth="1"/>
  </cols>
  <sheetData>
    <row r="1" spans="1:19" ht="23.25" customHeight="1">
      <c r="A1" s="155" t="s">
        <v>34</v>
      </c>
      <c r="B1" s="155"/>
      <c r="F1" s="4" t="s">
        <v>33</v>
      </c>
      <c r="S1" s="86">
        <v>1E-06</v>
      </c>
    </row>
    <row r="2" spans="1:7" ht="41.25" customHeight="1">
      <c r="A2" s="157" t="s">
        <v>97</v>
      </c>
      <c r="B2" s="157"/>
      <c r="C2" s="157"/>
      <c r="D2" s="157"/>
      <c r="E2" s="157"/>
      <c r="F2" s="157"/>
      <c r="G2" s="157"/>
    </row>
    <row r="3" spans="1:7" ht="21" customHeight="1">
      <c r="A3" s="158" t="s">
        <v>98</v>
      </c>
      <c r="B3" s="158"/>
      <c r="C3" s="158"/>
      <c r="D3" s="158"/>
      <c r="E3" s="158"/>
      <c r="F3" s="158"/>
      <c r="G3" s="158"/>
    </row>
    <row r="4" spans="1:7" ht="21" customHeight="1">
      <c r="A4" s="20"/>
      <c r="B4" s="20"/>
      <c r="C4" s="20"/>
      <c r="D4" s="20"/>
      <c r="E4" s="20"/>
      <c r="F4" s="20"/>
      <c r="G4" s="20"/>
    </row>
    <row r="5" spans="1:7" ht="20.25" customHeight="1">
      <c r="A5" s="87"/>
      <c r="B5" s="87"/>
      <c r="C5" s="88"/>
      <c r="E5" s="89"/>
      <c r="F5" s="3" t="s">
        <v>0</v>
      </c>
      <c r="G5" s="3"/>
    </row>
    <row r="6" spans="1:7" ht="24.75" customHeight="1">
      <c r="A6" s="162" t="s">
        <v>1</v>
      </c>
      <c r="B6" s="165" t="s">
        <v>2</v>
      </c>
      <c r="C6" s="166" t="s">
        <v>87</v>
      </c>
      <c r="D6" s="168" t="s">
        <v>96</v>
      </c>
      <c r="E6" s="169" t="s">
        <v>88</v>
      </c>
      <c r="F6" s="160" t="s">
        <v>3</v>
      </c>
      <c r="G6" s="161"/>
    </row>
    <row r="7" spans="1:7" ht="36.75" customHeight="1">
      <c r="A7" s="163"/>
      <c r="B7" s="165"/>
      <c r="C7" s="167"/>
      <c r="D7" s="168"/>
      <c r="E7" s="170"/>
      <c r="F7" s="19" t="s">
        <v>4</v>
      </c>
      <c r="G7" s="1" t="s">
        <v>5</v>
      </c>
    </row>
    <row r="8" spans="1:10" ht="25.5" customHeight="1">
      <c r="A8" s="164"/>
      <c r="B8" s="90">
        <v>1</v>
      </c>
      <c r="C8" s="91" t="s">
        <v>6</v>
      </c>
      <c r="D8" s="92" t="s">
        <v>7</v>
      </c>
      <c r="E8" s="91" t="s">
        <v>8</v>
      </c>
      <c r="F8" s="92" t="s">
        <v>9</v>
      </c>
      <c r="G8" s="91" t="s">
        <v>10</v>
      </c>
      <c r="H8" s="86"/>
      <c r="J8" s="93"/>
    </row>
    <row r="9" spans="1:10" s="96" customFormat="1" ht="21.75" customHeight="1">
      <c r="A9" s="117" t="s">
        <v>27</v>
      </c>
      <c r="B9" s="5" t="s">
        <v>11</v>
      </c>
      <c r="C9" s="76">
        <f>C10</f>
        <v>212650</v>
      </c>
      <c r="D9" s="76">
        <f>D10</f>
        <v>207954.219981</v>
      </c>
      <c r="E9" s="76">
        <f>E10</f>
        <v>284279.256369</v>
      </c>
      <c r="F9" s="95">
        <f>(D9/C9)*100</f>
        <v>97.79177991112155</v>
      </c>
      <c r="G9" s="129">
        <f>IF(H9&gt;0,D9/H9-100%,"")</f>
        <v>0.15597602853714632</v>
      </c>
      <c r="H9" s="56">
        <f>H10</f>
        <v>179894.924157</v>
      </c>
      <c r="J9" s="97"/>
    </row>
    <row r="10" spans="1:10" s="96" customFormat="1" ht="21.75" customHeight="1">
      <c r="A10" s="98" t="s">
        <v>12</v>
      </c>
      <c r="B10" s="99" t="s">
        <v>43</v>
      </c>
      <c r="C10" s="77">
        <f>C11+C17+C18+C19+C20+C21+C22+C23+C28</f>
        <v>212650</v>
      </c>
      <c r="D10" s="77">
        <f>D11+D17+D18+D19+D20+D21+D22+D23+D28</f>
        <v>207954.219981</v>
      </c>
      <c r="E10" s="77">
        <f>E11+E17+E18+E19+E20+E21+E22+E23+E28</f>
        <v>284279.256369</v>
      </c>
      <c r="F10" s="128">
        <f aca="true" t="shared" si="0" ref="F10:F30">(D10/C10)*100</f>
        <v>97.79177991112155</v>
      </c>
      <c r="G10" s="130">
        <f>IF(H10&gt;0,D10/H10-100%,"")</f>
        <v>0.15597602853714632</v>
      </c>
      <c r="H10" s="35">
        <v>179894.924157</v>
      </c>
      <c r="I10" s="100"/>
      <c r="J10" s="97"/>
    </row>
    <row r="11" spans="1:10" ht="21.75" customHeight="1">
      <c r="A11" s="101">
        <v>1</v>
      </c>
      <c r="B11" s="102" t="s">
        <v>13</v>
      </c>
      <c r="C11" s="78">
        <f>SUM(C12:C16)</f>
        <v>92500</v>
      </c>
      <c r="D11" s="78">
        <f>SUM(D12:D16)</f>
        <v>46049.999412</v>
      </c>
      <c r="E11" s="78">
        <f>SUM(E12:E16)</f>
        <v>68409.363271</v>
      </c>
      <c r="F11" s="103">
        <f t="shared" si="0"/>
        <v>49.78378314810811</v>
      </c>
      <c r="G11" s="131">
        <f>IF(H11&gt;0,D11/H11-100%,"")</f>
        <v>-0.8999207947538858</v>
      </c>
      <c r="H11" s="33">
        <f>H12+H13+H18+H19</f>
        <v>460135.542631</v>
      </c>
      <c r="I11" s="104"/>
      <c r="J11" s="93"/>
    </row>
    <row r="12" spans="1:10" ht="21.75" customHeight="1">
      <c r="A12" s="101"/>
      <c r="B12" s="102" t="s">
        <v>14</v>
      </c>
      <c r="C12" s="78">
        <v>83450</v>
      </c>
      <c r="D12" s="79">
        <v>39342.885547</v>
      </c>
      <c r="E12" s="79">
        <v>60494.835295</v>
      </c>
      <c r="F12" s="103">
        <f t="shared" si="0"/>
        <v>47.1454590137807</v>
      </c>
      <c r="G12" s="131">
        <f>IF(H12&gt;0,D12/H12-100%,"")</f>
        <v>-0.7574426182397244</v>
      </c>
      <c r="H12" s="120">
        <f>162200.322503</f>
        <v>162200.322503</v>
      </c>
      <c r="I12" s="104"/>
      <c r="J12" s="93"/>
    </row>
    <row r="13" spans="1:10" ht="21.75" customHeight="1">
      <c r="A13" s="101"/>
      <c r="B13" s="102" t="s">
        <v>15</v>
      </c>
      <c r="C13" s="78">
        <v>4500</v>
      </c>
      <c r="D13" s="79">
        <v>3282.9542819999997</v>
      </c>
      <c r="E13" s="79">
        <v>3483.1067519999997</v>
      </c>
      <c r="F13" s="103">
        <f t="shared" si="0"/>
        <v>72.95453959999999</v>
      </c>
      <c r="G13" s="131">
        <f aca="true" t="shared" si="1" ref="G13:G28">IF(H13&gt;0,D13/H13-100%,"")</f>
        <v>-0.9857467800016767</v>
      </c>
      <c r="H13" s="35">
        <f>+H14+H15+H17+H16</f>
        <v>230330.71</v>
      </c>
      <c r="I13" s="104"/>
      <c r="J13" s="93"/>
    </row>
    <row r="14" spans="1:10" ht="21.75" customHeight="1">
      <c r="A14" s="101"/>
      <c r="B14" s="102" t="s">
        <v>16</v>
      </c>
      <c r="C14" s="78">
        <v>110</v>
      </c>
      <c r="D14" s="79">
        <v>62.474613999999995</v>
      </c>
      <c r="E14" s="79">
        <v>61.018891999999994</v>
      </c>
      <c r="F14" s="103">
        <f t="shared" si="0"/>
        <v>56.79510363636363</v>
      </c>
      <c r="G14" s="131">
        <f t="shared" si="1"/>
        <v>-0.9994588646785216</v>
      </c>
      <c r="H14" s="127">
        <v>115451</v>
      </c>
      <c r="I14" s="104"/>
      <c r="J14" s="93"/>
    </row>
    <row r="15" spans="1:10" ht="21.75" customHeight="1">
      <c r="A15" s="101"/>
      <c r="B15" s="102" t="s">
        <v>17</v>
      </c>
      <c r="C15" s="78">
        <v>4440</v>
      </c>
      <c r="D15" s="79">
        <v>3361.684969</v>
      </c>
      <c r="E15" s="79">
        <v>4370.402332</v>
      </c>
      <c r="F15" s="103">
        <f t="shared" si="0"/>
        <v>75.71362542792792</v>
      </c>
      <c r="G15" s="131">
        <f t="shared" si="1"/>
        <v>-0.9706220146237775</v>
      </c>
      <c r="H15" s="127">
        <f>114428.51+0.2</f>
        <v>114428.70999999999</v>
      </c>
      <c r="J15" s="93"/>
    </row>
    <row r="16" spans="1:10" ht="21.75" customHeight="1">
      <c r="A16" s="101"/>
      <c r="B16" s="102" t="s">
        <v>18</v>
      </c>
      <c r="C16" s="78"/>
      <c r="D16" s="79">
        <v>0</v>
      </c>
      <c r="E16" s="79">
        <v>0</v>
      </c>
      <c r="F16" s="103"/>
      <c r="G16" s="131">
        <f t="shared" si="1"/>
        <v>-1</v>
      </c>
      <c r="H16" s="127">
        <v>451</v>
      </c>
      <c r="J16" s="93"/>
    </row>
    <row r="17" spans="1:10" ht="21.75" customHeight="1">
      <c r="A17" s="101">
        <v>2</v>
      </c>
      <c r="B17" s="102" t="s">
        <v>19</v>
      </c>
      <c r="C17" s="78">
        <v>18000</v>
      </c>
      <c r="D17" s="80">
        <v>13947.149178</v>
      </c>
      <c r="E17" s="80">
        <v>21911.410334</v>
      </c>
      <c r="F17" s="103">
        <f t="shared" si="0"/>
        <v>77.48416209999999</v>
      </c>
      <c r="G17" s="131">
        <f t="shared" si="1"/>
      </c>
      <c r="H17" s="35"/>
      <c r="J17" s="93"/>
    </row>
    <row r="18" spans="1:10" ht="21.75" customHeight="1">
      <c r="A18" s="101">
        <v>3</v>
      </c>
      <c r="B18" s="102" t="s">
        <v>20</v>
      </c>
      <c r="C18" s="78">
        <v>200</v>
      </c>
      <c r="D18" s="80">
        <v>331.669945</v>
      </c>
      <c r="E18" s="80">
        <v>174.80586599999998</v>
      </c>
      <c r="F18" s="103">
        <f t="shared" si="0"/>
        <v>165.8349725</v>
      </c>
      <c r="G18" s="131">
        <f t="shared" si="1"/>
      </c>
      <c r="H18" s="35"/>
      <c r="J18" s="93"/>
    </row>
    <row r="19" spans="1:10" ht="21.75" customHeight="1">
      <c r="A19" s="101">
        <v>4</v>
      </c>
      <c r="B19" s="102" t="s">
        <v>21</v>
      </c>
      <c r="C19" s="78">
        <v>3500</v>
      </c>
      <c r="D19" s="80">
        <v>2488.0857699999997</v>
      </c>
      <c r="E19" s="80">
        <v>2767.8485419999997</v>
      </c>
      <c r="F19" s="103">
        <f t="shared" si="0"/>
        <v>71.08816485714284</v>
      </c>
      <c r="G19" s="131">
        <f t="shared" si="1"/>
        <v>-0.9631964529394689</v>
      </c>
      <c r="H19" s="121">
        <v>67604.510128</v>
      </c>
      <c r="J19" s="93"/>
    </row>
    <row r="20" spans="1:10" ht="21.75" customHeight="1">
      <c r="A20" s="101">
        <v>5</v>
      </c>
      <c r="B20" s="102" t="s">
        <v>22</v>
      </c>
      <c r="C20" s="78">
        <v>100</v>
      </c>
      <c r="D20" s="79">
        <v>0</v>
      </c>
      <c r="E20" s="79">
        <v>8839.415090999999</v>
      </c>
      <c r="F20" s="103">
        <f t="shared" si="0"/>
        <v>0</v>
      </c>
      <c r="G20" s="131">
        <f t="shared" si="1"/>
        <v>-1</v>
      </c>
      <c r="H20" s="33">
        <f>H21+H30+H29</f>
        <v>272593.32430300006</v>
      </c>
      <c r="J20" s="105"/>
    </row>
    <row r="21" spans="1:10" ht="21.75" customHeight="1">
      <c r="A21" s="101">
        <v>6</v>
      </c>
      <c r="B21" s="102" t="s">
        <v>23</v>
      </c>
      <c r="C21" s="78">
        <v>35000</v>
      </c>
      <c r="D21" s="80">
        <v>27828.500265</v>
      </c>
      <c r="E21" s="80">
        <v>54799.570859</v>
      </c>
      <c r="F21" s="103">
        <f t="shared" si="0"/>
        <v>79.51000075714285</v>
      </c>
      <c r="G21" s="131">
        <f t="shared" si="1"/>
        <v>-0.8910668673279272</v>
      </c>
      <c r="H21" s="33">
        <f>SUM(H22:H28)</f>
        <v>255464.05930300005</v>
      </c>
      <c r="J21" s="93"/>
    </row>
    <row r="22" spans="1:10" ht="21.75" customHeight="1">
      <c r="A22" s="101">
        <v>7</v>
      </c>
      <c r="B22" s="102" t="s">
        <v>24</v>
      </c>
      <c r="C22" s="78">
        <v>53000</v>
      </c>
      <c r="D22" s="80">
        <v>106465.9573</v>
      </c>
      <c r="E22" s="80">
        <v>117021.749356</v>
      </c>
      <c r="F22" s="103">
        <f t="shared" si="0"/>
        <v>200.8791647169811</v>
      </c>
      <c r="G22" s="131">
        <f t="shared" si="1"/>
        <v>0.7886359628563557</v>
      </c>
      <c r="H22" s="35">
        <f>59523.247279+0.3</f>
        <v>59523.547279000006</v>
      </c>
      <c r="J22" s="93"/>
    </row>
    <row r="23" spans="1:10" ht="21.75" customHeight="1">
      <c r="A23" s="101">
        <v>8</v>
      </c>
      <c r="B23" s="102" t="s">
        <v>25</v>
      </c>
      <c r="C23" s="78">
        <f>+C24+C25+C26+C27</f>
        <v>10000</v>
      </c>
      <c r="D23" s="78">
        <f>+D24+D25+D26+D27</f>
        <v>10416.453111</v>
      </c>
      <c r="E23" s="78">
        <f>+E24+E25+E26+E27</f>
        <v>10125.09305</v>
      </c>
      <c r="F23" s="103">
        <f t="shared" si="0"/>
        <v>104.16453111000001</v>
      </c>
      <c r="G23" s="131">
        <f t="shared" si="1"/>
        <v>-0.911433739699975</v>
      </c>
      <c r="H23" s="35">
        <f>121521.878399-H24-3735.73</f>
        <v>117611.978599</v>
      </c>
      <c r="J23" s="93"/>
    </row>
    <row r="24" spans="1:10" ht="21.75" customHeight="1">
      <c r="A24" s="101"/>
      <c r="B24" s="106" t="s">
        <v>26</v>
      </c>
      <c r="C24" s="107">
        <v>4200</v>
      </c>
      <c r="D24" s="78">
        <v>0</v>
      </c>
      <c r="E24" s="78">
        <v>0</v>
      </c>
      <c r="F24" s="103">
        <f t="shared" si="0"/>
        <v>0</v>
      </c>
      <c r="G24" s="131">
        <f t="shared" si="1"/>
        <v>-1</v>
      </c>
      <c r="H24" s="35">
        <v>174.16979999999998</v>
      </c>
      <c r="J24" s="93"/>
    </row>
    <row r="25" spans="1:10" ht="21.75" customHeight="1">
      <c r="A25" s="101"/>
      <c r="B25" s="108" t="s">
        <v>80</v>
      </c>
      <c r="C25" s="109">
        <v>4300</v>
      </c>
      <c r="D25" s="78">
        <v>7704.925719</v>
      </c>
      <c r="E25" s="78">
        <v>6345.404054</v>
      </c>
      <c r="F25" s="103">
        <f t="shared" si="0"/>
        <v>179.18431904651163</v>
      </c>
      <c r="G25" s="131">
        <f t="shared" si="1"/>
        <v>-0.8861133960004787</v>
      </c>
      <c r="H25" s="67">
        <f>67920.043625-265.68</f>
        <v>67654.36362500001</v>
      </c>
      <c r="J25" s="93"/>
    </row>
    <row r="26" spans="1:10" ht="21.75" customHeight="1">
      <c r="A26" s="101"/>
      <c r="B26" s="110" t="s">
        <v>81</v>
      </c>
      <c r="C26" s="111">
        <v>1500</v>
      </c>
      <c r="D26" s="78">
        <v>1806.2805819999999</v>
      </c>
      <c r="E26" s="78">
        <v>1897.6305</v>
      </c>
      <c r="F26" s="103">
        <f t="shared" si="0"/>
        <v>120.41870546666667</v>
      </c>
      <c r="G26" s="131">
        <f t="shared" si="1"/>
        <v>0.8062805819999999</v>
      </c>
      <c r="H26" s="67">
        <v>1000</v>
      </c>
      <c r="J26" s="93"/>
    </row>
    <row r="27" spans="1:10" ht="21.75" customHeight="1">
      <c r="A27" s="101"/>
      <c r="B27" s="110" t="s">
        <v>86</v>
      </c>
      <c r="C27" s="111"/>
      <c r="D27" s="78">
        <v>905.24681</v>
      </c>
      <c r="E27" s="78">
        <v>1882.0584959999999</v>
      </c>
      <c r="F27" s="103"/>
      <c r="G27" s="131">
        <f t="shared" si="1"/>
        <v>-0.8994170211111111</v>
      </c>
      <c r="H27" s="67">
        <v>9000</v>
      </c>
      <c r="J27" s="93"/>
    </row>
    <row r="28" spans="1:10" ht="21.75" customHeight="1">
      <c r="A28" s="74">
        <v>9</v>
      </c>
      <c r="B28" s="72" t="s">
        <v>82</v>
      </c>
      <c r="C28" s="81">
        <v>350</v>
      </c>
      <c r="D28" s="81">
        <v>426.405</v>
      </c>
      <c r="E28" s="81">
        <v>230</v>
      </c>
      <c r="F28" s="103">
        <f t="shared" si="0"/>
        <v>121.83</v>
      </c>
      <c r="G28" s="131">
        <f t="shared" si="1"/>
        <v>-0.14719000000000004</v>
      </c>
      <c r="H28" s="67">
        <v>500</v>
      </c>
      <c r="J28" s="93"/>
    </row>
    <row r="29" spans="1:10" ht="21.75" customHeight="1">
      <c r="A29" s="75" t="s">
        <v>28</v>
      </c>
      <c r="B29" s="73" t="s">
        <v>36</v>
      </c>
      <c r="C29" s="112"/>
      <c r="D29" s="82"/>
      <c r="E29" s="82"/>
      <c r="F29" s="113"/>
      <c r="G29" s="132"/>
      <c r="H29" s="71">
        <v>17129.265</v>
      </c>
      <c r="J29" s="93"/>
    </row>
    <row r="30" spans="1:8" s="96" customFormat="1" ht="31.5">
      <c r="A30" s="6" t="s">
        <v>29</v>
      </c>
      <c r="B30" s="7" t="s">
        <v>35</v>
      </c>
      <c r="C30" s="8">
        <v>231206</v>
      </c>
      <c r="D30" s="125">
        <v>213876.62393</v>
      </c>
      <c r="E30" s="125">
        <v>57826.27</v>
      </c>
      <c r="F30" s="126">
        <f t="shared" si="0"/>
        <v>92.50478963781217</v>
      </c>
      <c r="G30" s="129"/>
      <c r="H30" s="64"/>
    </row>
    <row r="31" spans="4:7" ht="18.75" customHeight="1">
      <c r="D31" s="114"/>
      <c r="E31" s="114"/>
      <c r="F31" s="115"/>
      <c r="G31" s="114"/>
    </row>
  </sheetData>
  <sheetProtection/>
  <mergeCells count="9">
    <mergeCell ref="A1:B1"/>
    <mergeCell ref="A2:G2"/>
    <mergeCell ref="A3:G3"/>
    <mergeCell ref="F6:G6"/>
    <mergeCell ref="A6:A8"/>
    <mergeCell ref="B6:B7"/>
    <mergeCell ref="C6:C7"/>
    <mergeCell ref="D6:D7"/>
    <mergeCell ref="E6:E7"/>
  </mergeCells>
  <printOptions horizontalCentered="1"/>
  <pageMargins left="0.75" right="0.2" top="0.71" bottom="0.2" header="0.23" footer="0.3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PageLayoutView="0" workbookViewId="0" topLeftCell="A16">
      <selection activeCell="K32" sqref="K32"/>
    </sheetView>
  </sheetViews>
  <sheetFormatPr defaultColWidth="10.00390625" defaultRowHeight="12.75"/>
  <cols>
    <col min="1" max="1" width="8.57421875" style="21" customWidth="1"/>
    <col min="2" max="2" width="46.00390625" style="21" customWidth="1"/>
    <col min="3" max="3" width="10.421875" style="21" customWidth="1"/>
    <col min="4" max="4" width="10.57421875" style="21" customWidth="1"/>
    <col min="5" max="5" width="9.28125" style="11" customWidth="1"/>
    <col min="6" max="6" width="10.28125" style="11" customWidth="1"/>
    <col min="7" max="7" width="10.00390625" style="21" hidden="1" customWidth="1"/>
    <col min="8" max="11" width="10.00390625" style="21" customWidth="1"/>
    <col min="12" max="12" width="11.57421875" style="21" bestFit="1" customWidth="1"/>
    <col min="13" max="16384" width="10.00390625" style="21" customWidth="1"/>
  </cols>
  <sheetData>
    <row r="1" spans="1:6" ht="21" customHeight="1">
      <c r="A1" s="155" t="s">
        <v>34</v>
      </c>
      <c r="B1" s="155"/>
      <c r="C1" s="11"/>
      <c r="D1" s="155" t="s">
        <v>37</v>
      </c>
      <c r="E1" s="155"/>
      <c r="F1" s="155"/>
    </row>
    <row r="2" spans="1:6" ht="17.25" customHeight="1">
      <c r="A2" s="155"/>
      <c r="B2" s="155"/>
      <c r="C2" s="11"/>
      <c r="D2" s="12"/>
      <c r="E2" s="4"/>
      <c r="F2" s="4"/>
    </row>
    <row r="3" spans="1:6" ht="21" customHeight="1">
      <c r="A3" s="157" t="s">
        <v>100</v>
      </c>
      <c r="B3" s="157"/>
      <c r="C3" s="157"/>
      <c r="D3" s="157"/>
      <c r="E3" s="157"/>
      <c r="F3" s="157"/>
    </row>
    <row r="4" spans="1:6" ht="22.5" customHeight="1">
      <c r="A4" s="158" t="s">
        <v>98</v>
      </c>
      <c r="B4" s="158"/>
      <c r="C4" s="158"/>
      <c r="D4" s="158"/>
      <c r="E4" s="158"/>
      <c r="F4" s="158"/>
    </row>
    <row r="5" spans="1:6" ht="18.75" customHeight="1">
      <c r="A5" s="22"/>
      <c r="B5" s="22"/>
      <c r="C5" s="23"/>
      <c r="D5" s="174" t="s">
        <v>44</v>
      </c>
      <c r="E5" s="174"/>
      <c r="F5" s="174"/>
    </row>
    <row r="6" spans="1:6" s="24" customFormat="1" ht="45" customHeight="1">
      <c r="A6" s="147" t="s">
        <v>1</v>
      </c>
      <c r="B6" s="147" t="s">
        <v>45</v>
      </c>
      <c r="C6" s="150" t="s">
        <v>46</v>
      </c>
      <c r="D6" s="150" t="s">
        <v>99</v>
      </c>
      <c r="E6" s="153" t="s">
        <v>90</v>
      </c>
      <c r="F6" s="154"/>
    </row>
    <row r="7" spans="1:6" s="24" customFormat="1" ht="16.5">
      <c r="A7" s="148"/>
      <c r="B7" s="148"/>
      <c r="C7" s="172"/>
      <c r="D7" s="172"/>
      <c r="E7" s="150" t="s">
        <v>46</v>
      </c>
      <c r="F7" s="150" t="s">
        <v>47</v>
      </c>
    </row>
    <row r="8" spans="1:6" s="24" customFormat="1" ht="36" customHeight="1">
      <c r="A8" s="149"/>
      <c r="B8" s="149"/>
      <c r="C8" s="173"/>
      <c r="D8" s="173"/>
      <c r="E8" s="152"/>
      <c r="F8" s="173"/>
    </row>
    <row r="9" spans="1:15" s="28" customFormat="1" ht="20.25" customHeight="1">
      <c r="A9" s="25" t="s">
        <v>27</v>
      </c>
      <c r="B9" s="26" t="s">
        <v>29</v>
      </c>
      <c r="C9" s="25">
        <v>1</v>
      </c>
      <c r="D9" s="25">
        <f>C9+1</f>
        <v>2</v>
      </c>
      <c r="E9" s="27" t="s">
        <v>48</v>
      </c>
      <c r="F9" s="25">
        <v>4</v>
      </c>
      <c r="O9" s="28">
        <v>1E-06</v>
      </c>
    </row>
    <row r="10" spans="1:7" s="23" customFormat="1" ht="21.75" customHeight="1">
      <c r="A10" s="29"/>
      <c r="B10" s="30" t="s">
        <v>49</v>
      </c>
      <c r="C10" s="31">
        <f>C11+C31</f>
        <v>577903</v>
      </c>
      <c r="D10" s="31">
        <f>D11+D31</f>
        <v>430824.44816499995</v>
      </c>
      <c r="E10" s="32">
        <f>D10/C10*100</f>
        <v>74.54961267980957</v>
      </c>
      <c r="F10" s="32">
        <f>+D10/G10*100</f>
        <v>105.26943723938795</v>
      </c>
      <c r="G10" s="23">
        <v>409258.811924</v>
      </c>
    </row>
    <row r="11" spans="1:7" s="23" customFormat="1" ht="21.75" customHeight="1">
      <c r="A11" s="9" t="s">
        <v>27</v>
      </c>
      <c r="B11" s="10" t="s">
        <v>38</v>
      </c>
      <c r="C11" s="33">
        <f>+C12+C15+C27+C28+C29</f>
        <v>438950</v>
      </c>
      <c r="D11" s="33">
        <f>D12+D15+D29+D27+D28+D30</f>
        <v>318317.187567</v>
      </c>
      <c r="E11" s="34">
        <f>D11/C11*100</f>
        <v>72.51786936256977</v>
      </c>
      <c r="F11" s="32">
        <f>+D11/G11*100</f>
        <v>77.77894532570554</v>
      </c>
      <c r="G11" s="23">
        <v>409258.811924</v>
      </c>
    </row>
    <row r="12" spans="1:7" s="23" customFormat="1" ht="21.75" customHeight="1">
      <c r="A12" s="9" t="s">
        <v>12</v>
      </c>
      <c r="B12" s="10" t="s">
        <v>50</v>
      </c>
      <c r="C12" s="33">
        <f>C13+C14</f>
        <v>62740</v>
      </c>
      <c r="D12" s="33">
        <f>D13+D14</f>
        <v>51546.168817</v>
      </c>
      <c r="E12" s="34">
        <f>D12/C12*100</f>
        <v>82.1583819206248</v>
      </c>
      <c r="F12" s="32">
        <f>+D12/G12*100</f>
        <v>39.89554203448808</v>
      </c>
      <c r="G12" s="33">
        <f>G13+G14</f>
        <v>129202.828658</v>
      </c>
    </row>
    <row r="13" spans="1:7" s="23" customFormat="1" ht="21.75" customHeight="1">
      <c r="A13" s="13">
        <v>1</v>
      </c>
      <c r="B13" s="14" t="s">
        <v>39</v>
      </c>
      <c r="C13" s="37">
        <v>60740</v>
      </c>
      <c r="D13" s="35">
        <f>48046.468817-0.3</f>
        <v>48046.168817</v>
      </c>
      <c r="E13" s="36">
        <f aca="true" t="shared" si="0" ref="E13:E26">D13/C13*100</f>
        <v>79.10136453243332</v>
      </c>
      <c r="F13" s="123">
        <f>+D13/G13*100</f>
        <v>40.47601001609486</v>
      </c>
      <c r="G13" s="23">
        <v>118702.828658</v>
      </c>
    </row>
    <row r="14" spans="1:7" s="23" customFormat="1" ht="21.75" customHeight="1">
      <c r="A14" s="15">
        <v>2</v>
      </c>
      <c r="B14" s="16" t="s">
        <v>40</v>
      </c>
      <c r="C14" s="37">
        <v>2000</v>
      </c>
      <c r="D14" s="37">
        <v>3500</v>
      </c>
      <c r="E14" s="34"/>
      <c r="F14" s="32"/>
      <c r="G14" s="23">
        <v>10500</v>
      </c>
    </row>
    <row r="15" spans="1:10" s="38" customFormat="1" ht="21.75" customHeight="1">
      <c r="A15" s="9" t="s">
        <v>28</v>
      </c>
      <c r="B15" s="10" t="s">
        <v>30</v>
      </c>
      <c r="C15" s="33">
        <v>367430</v>
      </c>
      <c r="D15" s="33">
        <v>249287.19105</v>
      </c>
      <c r="E15" s="34">
        <f t="shared" si="0"/>
        <v>67.84617234575293</v>
      </c>
      <c r="F15" s="32">
        <f>+D15/G15*100</f>
        <v>136.07641308680158</v>
      </c>
      <c r="G15" s="38">
        <v>183196.474242</v>
      </c>
      <c r="I15" s="35"/>
      <c r="J15" s="138"/>
    </row>
    <row r="16" spans="1:6" s="23" customFormat="1" ht="21.75" customHeight="1">
      <c r="A16" s="9"/>
      <c r="B16" s="17" t="s">
        <v>41</v>
      </c>
      <c r="C16" s="37"/>
      <c r="D16" s="37"/>
      <c r="E16" s="39"/>
      <c r="F16" s="32"/>
    </row>
    <row r="17" spans="1:7" s="23" customFormat="1" ht="21.75" customHeight="1">
      <c r="A17" s="13">
        <v>1</v>
      </c>
      <c r="B17" s="18" t="s">
        <v>42</v>
      </c>
      <c r="C17" s="40">
        <v>199440</v>
      </c>
      <c r="D17" s="141">
        <v>135445.420067</v>
      </c>
      <c r="E17" s="36">
        <f t="shared" si="0"/>
        <v>67.91286605846369</v>
      </c>
      <c r="F17" s="32">
        <f>+D17/G17*100</f>
        <v>105.06106766947366</v>
      </c>
      <c r="G17" s="23">
        <v>128920.65831</v>
      </c>
    </row>
    <row r="18" spans="1:7" s="23" customFormat="1" ht="21.75" customHeight="1">
      <c r="A18" s="13">
        <f>A17+1</f>
        <v>2</v>
      </c>
      <c r="B18" s="18" t="s">
        <v>51</v>
      </c>
      <c r="C18" s="40">
        <v>130</v>
      </c>
      <c r="D18" s="140">
        <v>0</v>
      </c>
      <c r="E18" s="36">
        <f t="shared" si="0"/>
        <v>0</v>
      </c>
      <c r="F18" s="123"/>
      <c r="G18" s="23">
        <v>0</v>
      </c>
    </row>
    <row r="19" spans="1:7" s="23" customFormat="1" ht="21.75" customHeight="1">
      <c r="A19" s="13">
        <f aca="true" t="shared" si="1" ref="A19:A24">A18+1</f>
        <v>3</v>
      </c>
      <c r="B19" s="18" t="s">
        <v>52</v>
      </c>
      <c r="C19" s="40">
        <v>2719</v>
      </c>
      <c r="D19" s="141">
        <v>2199.9096</v>
      </c>
      <c r="E19" s="36">
        <f t="shared" si="0"/>
        <v>80.90877528503127</v>
      </c>
      <c r="F19" s="123">
        <f aca="true" t="shared" si="2" ref="F19:F26">+D19/G19*100</f>
        <v>112.05213816871422</v>
      </c>
      <c r="G19" s="23">
        <v>1963.2910499999998</v>
      </c>
    </row>
    <row r="20" spans="1:7" s="23" customFormat="1" ht="21.75" customHeight="1">
      <c r="A20" s="13">
        <f t="shared" si="1"/>
        <v>4</v>
      </c>
      <c r="B20" s="18" t="s">
        <v>53</v>
      </c>
      <c r="C20" s="40">
        <v>3860</v>
      </c>
      <c r="D20" s="141">
        <v>2303.388529</v>
      </c>
      <c r="E20" s="36">
        <f t="shared" si="0"/>
        <v>59.67327795336787</v>
      </c>
      <c r="F20" s="123">
        <f t="shared" si="2"/>
        <v>289.6029672158177</v>
      </c>
      <c r="G20" s="23">
        <v>795.360818</v>
      </c>
    </row>
    <row r="21" spans="1:7" s="23" customFormat="1" ht="21.75" customHeight="1">
      <c r="A21" s="13">
        <f t="shared" si="1"/>
        <v>5</v>
      </c>
      <c r="B21" s="18" t="s">
        <v>54</v>
      </c>
      <c r="C21" s="40">
        <v>795</v>
      </c>
      <c r="D21" s="141">
        <v>552.40217</v>
      </c>
      <c r="E21" s="36">
        <f>D22/C21*100</f>
        <v>74.46591886792453</v>
      </c>
      <c r="F21" s="123">
        <f t="shared" si="2"/>
        <v>120.4650618749546</v>
      </c>
      <c r="G21" s="23">
        <v>458.55799299999995</v>
      </c>
    </row>
    <row r="22" spans="1:7" s="23" customFormat="1" ht="21.75" customHeight="1">
      <c r="A22" s="13">
        <f t="shared" si="1"/>
        <v>6</v>
      </c>
      <c r="B22" s="18" t="s">
        <v>55</v>
      </c>
      <c r="C22" s="37">
        <v>871</v>
      </c>
      <c r="D22" s="141">
        <v>592.004055</v>
      </c>
      <c r="E22" s="36">
        <f>D21/C22*100</f>
        <v>63.421603903559124</v>
      </c>
      <c r="F22" s="123">
        <f t="shared" si="2"/>
        <v>85.90441902161209</v>
      </c>
      <c r="G22" s="23">
        <v>689.1427259999999</v>
      </c>
    </row>
    <row r="23" spans="1:7" s="23" customFormat="1" ht="21.75" customHeight="1">
      <c r="A23" s="13">
        <f t="shared" si="1"/>
        <v>7</v>
      </c>
      <c r="B23" s="18" t="s">
        <v>56</v>
      </c>
      <c r="C23" s="40">
        <v>5142</v>
      </c>
      <c r="D23" s="146">
        <v>1905.10735</v>
      </c>
      <c r="E23" s="36">
        <f t="shared" si="0"/>
        <v>37.0499290159471</v>
      </c>
      <c r="F23" s="123">
        <f t="shared" si="2"/>
        <v>178.22699590982361</v>
      </c>
      <c r="G23" s="23">
        <v>1068.921877</v>
      </c>
    </row>
    <row r="24" spans="1:7" s="23" customFormat="1" ht="21.75" customHeight="1">
      <c r="A24" s="13">
        <f t="shared" si="1"/>
        <v>8</v>
      </c>
      <c r="B24" s="18" t="s">
        <v>57</v>
      </c>
      <c r="C24" s="40">
        <v>25429</v>
      </c>
      <c r="D24" s="141">
        <v>14965.375383999999</v>
      </c>
      <c r="E24" s="36">
        <f t="shared" si="0"/>
        <v>58.85160794368633</v>
      </c>
      <c r="F24" s="123">
        <f t="shared" si="2"/>
        <v>215.16617495244924</v>
      </c>
      <c r="G24" s="23">
        <v>6955.263943</v>
      </c>
    </row>
    <row r="25" spans="1:7" s="23" customFormat="1" ht="36" customHeight="1">
      <c r="A25" s="15">
        <v>9</v>
      </c>
      <c r="B25" s="41" t="s">
        <v>58</v>
      </c>
      <c r="C25" s="42">
        <v>79569</v>
      </c>
      <c r="D25" s="141">
        <v>53029.767604</v>
      </c>
      <c r="E25" s="43">
        <f t="shared" si="0"/>
        <v>66.6462662645</v>
      </c>
      <c r="F25" s="123">
        <f t="shared" si="2"/>
        <v>283.08762113407096</v>
      </c>
      <c r="G25" s="23">
        <v>18732.633872</v>
      </c>
    </row>
    <row r="26" spans="1:7" s="23" customFormat="1" ht="21.75" customHeight="1">
      <c r="A26" s="13">
        <v>10</v>
      </c>
      <c r="B26" s="18" t="s">
        <v>59</v>
      </c>
      <c r="C26" s="40">
        <v>22053</v>
      </c>
      <c r="D26" s="141">
        <v>19597.320321</v>
      </c>
      <c r="E26" s="36">
        <f t="shared" si="0"/>
        <v>88.86464572167053</v>
      </c>
      <c r="F26" s="123">
        <f t="shared" si="2"/>
        <v>95.73683352653019</v>
      </c>
      <c r="G26" s="23">
        <v>20469.990074999998</v>
      </c>
    </row>
    <row r="27" spans="1:7" s="38" customFormat="1" ht="21.75" customHeight="1">
      <c r="A27" s="9" t="s">
        <v>60</v>
      </c>
      <c r="B27" s="10" t="s">
        <v>83</v>
      </c>
      <c r="C27" s="118"/>
      <c r="D27" s="33">
        <v>0</v>
      </c>
      <c r="E27" s="34"/>
      <c r="F27" s="122"/>
      <c r="G27" s="38">
        <v>67352.100075</v>
      </c>
    </row>
    <row r="28" spans="1:7" s="38" customFormat="1" ht="21.75" customHeight="1">
      <c r="A28" s="9" t="s">
        <v>84</v>
      </c>
      <c r="B28" s="10" t="s">
        <v>31</v>
      </c>
      <c r="C28" s="118">
        <v>8780</v>
      </c>
      <c r="D28" s="33">
        <v>784.4877</v>
      </c>
      <c r="E28" s="34"/>
      <c r="F28" s="123">
        <f>+D28/G28*100</f>
        <v>63.83468145018071</v>
      </c>
      <c r="G28" s="38">
        <v>1228.9365</v>
      </c>
    </row>
    <row r="29" spans="1:10" s="38" customFormat="1" ht="21.75" customHeight="1">
      <c r="A29" s="9" t="s">
        <v>85</v>
      </c>
      <c r="B29" s="10" t="s">
        <v>79</v>
      </c>
      <c r="C29" s="33">
        <v>0</v>
      </c>
      <c r="D29" s="119">
        <v>16679.489999999998</v>
      </c>
      <c r="E29" s="34"/>
      <c r="F29" s="123">
        <f>+D29/G29*100</f>
        <v>58.982995032993124</v>
      </c>
      <c r="G29" s="38">
        <v>28278.472448999997</v>
      </c>
      <c r="J29" s="138"/>
    </row>
    <row r="30" spans="1:10" s="38" customFormat="1" ht="21.75" customHeight="1">
      <c r="A30" s="9" t="s">
        <v>101</v>
      </c>
      <c r="B30" s="10" t="s">
        <v>95</v>
      </c>
      <c r="C30" s="33"/>
      <c r="D30" s="119">
        <v>19.849999999999998</v>
      </c>
      <c r="E30" s="34"/>
      <c r="F30" s="32"/>
      <c r="J30" s="138"/>
    </row>
    <row r="31" spans="1:6" s="38" customFormat="1" ht="35.25" customHeight="1">
      <c r="A31" s="44" t="s">
        <v>29</v>
      </c>
      <c r="B31" s="45" t="s">
        <v>61</v>
      </c>
      <c r="C31" s="33">
        <f>+C32+C33+C34</f>
        <v>138953</v>
      </c>
      <c r="D31" s="33">
        <f>+SUM(D32:D34)</f>
        <v>112507.260598</v>
      </c>
      <c r="E31" s="124"/>
      <c r="F31" s="34"/>
    </row>
    <row r="32" spans="1:6" s="23" customFormat="1" ht="21.75" customHeight="1">
      <c r="A32" s="46">
        <v>1</v>
      </c>
      <c r="B32" s="18" t="s">
        <v>62</v>
      </c>
      <c r="C32" s="35">
        <v>99907</v>
      </c>
      <c r="D32" s="35">
        <f>68759.480035-0.4</f>
        <v>68759.080035</v>
      </c>
      <c r="E32" s="47"/>
      <c r="F32" s="47"/>
    </row>
    <row r="33" spans="1:6" s="23" customFormat="1" ht="21.75" customHeight="1">
      <c r="A33" s="46">
        <v>2</v>
      </c>
      <c r="B33" s="18" t="s">
        <v>63</v>
      </c>
      <c r="C33" s="35"/>
      <c r="D33" s="35">
        <v>36774.414763</v>
      </c>
      <c r="E33" s="47"/>
      <c r="F33" s="47"/>
    </row>
    <row r="34" spans="1:6" s="23" customFormat="1" ht="21.75" customHeight="1">
      <c r="A34" s="48">
        <v>3</v>
      </c>
      <c r="B34" s="49" t="s">
        <v>64</v>
      </c>
      <c r="C34" s="63">
        <f>37946+1100</f>
        <v>39046</v>
      </c>
      <c r="D34" s="63">
        <v>6973.7658</v>
      </c>
      <c r="E34" s="50"/>
      <c r="F34" s="50"/>
    </row>
    <row r="35" spans="1:4" ht="12.75" customHeight="1">
      <c r="A35" s="23"/>
      <c r="B35" s="23"/>
      <c r="C35" s="23"/>
      <c r="D35" s="23"/>
    </row>
    <row r="36" spans="1:6" ht="18.75">
      <c r="A36" s="23"/>
      <c r="B36" s="23"/>
      <c r="C36" s="171"/>
      <c r="D36" s="171"/>
      <c r="E36" s="171"/>
      <c r="F36" s="171"/>
    </row>
    <row r="37" spans="3:6" ht="18.75">
      <c r="C37" s="157"/>
      <c r="D37" s="157"/>
      <c r="E37" s="157"/>
      <c r="F37" s="157"/>
    </row>
  </sheetData>
  <sheetProtection/>
  <mergeCells count="15">
    <mergeCell ref="A1:B1"/>
    <mergeCell ref="A2:B2"/>
    <mergeCell ref="A3:F3"/>
    <mergeCell ref="A4:F4"/>
    <mergeCell ref="D5:F5"/>
    <mergeCell ref="D1:F1"/>
    <mergeCell ref="C36:F36"/>
    <mergeCell ref="C37:F37"/>
    <mergeCell ref="A6:A8"/>
    <mergeCell ref="B6:B8"/>
    <mergeCell ref="C6:C8"/>
    <mergeCell ref="D6:D8"/>
    <mergeCell ref="E6:F6"/>
    <mergeCell ref="E7:E8"/>
    <mergeCell ref="F7:F8"/>
  </mergeCells>
  <printOptions/>
  <pageMargins left="0.52" right="0.39" top="0.48" bottom="0.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2023-04-04T02:27:53Z</cp:lastPrinted>
  <dcterms:created xsi:type="dcterms:W3CDTF">2015-03-21T09:25:15Z</dcterms:created>
  <dcterms:modified xsi:type="dcterms:W3CDTF">2023-10-03T01:55:07Z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1033-11.2.0.8934</vt:lpwstr>
  </property>
</Properties>
</file>